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860" activeTab="0"/>
  </bookViews>
  <sheets>
    <sheet name="S factor" sheetId="1" r:id="rId1"/>
    <sheet name="L factor" sheetId="2" r:id="rId2"/>
    <sheet name="mstpt formula" sheetId="3" r:id="rId3"/>
    <sheet name="KO formulas" sheetId="4" r:id="rId4"/>
    <sheet name="S factor - brackets" sheetId="5" r:id="rId5"/>
    <sheet name="KO examples" sheetId="6" r:id="rId6"/>
    <sheet name="D factor" sheetId="7" r:id="rId7"/>
    <sheet name="Club examples" sheetId="8" r:id="rId8"/>
  </sheets>
  <definedNames/>
  <calcPr fullCalcOnLoad="1"/>
</workbook>
</file>

<file path=xl/sharedStrings.xml><?xml version="1.0" encoding="utf-8"?>
<sst xmlns="http://schemas.openxmlformats.org/spreadsheetml/2006/main" count="165" uniqueCount="150">
  <si>
    <t xml:space="preserve">Formulas for S factor </t>
  </si>
  <si>
    <t>Let N=# sessions</t>
  </si>
  <si>
    <t>N</t>
  </si>
  <si>
    <t>S - 1993</t>
  </si>
  <si>
    <t>S-2007</t>
  </si>
  <si>
    <t>S-proposed</t>
  </si>
  <si>
    <t>Note: this formula could be used even if N is not an integer.</t>
  </si>
  <si>
    <t>This will come into  play for knockout teams</t>
  </si>
  <si>
    <t>L</t>
  </si>
  <si>
    <t>Formula for L factor</t>
  </si>
  <si>
    <t>To account for twice the number of boards being 1.5 times the masterpoints,</t>
  </si>
  <si>
    <t>the L factor has to be modified.</t>
  </si>
  <si>
    <t>Note the L factor is presently 1 for 24 boards and 1.5 for 48 boards.</t>
  </si>
  <si>
    <t>These numbers would stay the same.</t>
  </si>
  <si>
    <t>BD</t>
  </si>
  <si>
    <t>The low numbers are possible numbers of boards in Swiss team matches</t>
  </si>
  <si>
    <t>They will be used with a modified D factor later.</t>
  </si>
  <si>
    <t>The other numbers are possible number of boards in a session.</t>
  </si>
  <si>
    <t>L could be capped at 1, or games with &gt;24 boards could be given a small bonus.</t>
  </si>
  <si>
    <t xml:space="preserve">The actual proposed formula is S  = 1.5 to the power Log2(N) </t>
  </si>
  <si>
    <t>The formula used is L = 1.5 to the power log2 (BD/24), where BD is the number of boards.</t>
  </si>
  <si>
    <t>THE MASTERPOINT FORMULA</t>
  </si>
  <si>
    <t>At present the masterpoint formula is</t>
  </si>
  <si>
    <t>First Overall = B x R x S x M x P x T</t>
  </si>
  <si>
    <t>This formula applies to all but knockout events.</t>
  </si>
  <si>
    <t>We have decided to eliminate T</t>
  </si>
  <si>
    <t>Because sessions with different numbers of awards are now common,</t>
  </si>
  <si>
    <t>the L factor needs to be included.</t>
  </si>
  <si>
    <t>Thus the formula becomes</t>
  </si>
  <si>
    <t>First Overall = (B x M) x R x S x P x L</t>
  </si>
  <si>
    <t>Note that M is never greater than 1, and B does not get to be 2 until 400 tables.</t>
  </si>
  <si>
    <t>Thus this product is virtually always between 0 and 2</t>
  </si>
  <si>
    <t>Given strength of field, I propose to replace this product with FS</t>
  </si>
  <si>
    <t>FS will be a strength of field number between 0 and 2</t>
  </si>
  <si>
    <t>1) The knockout formula will be translated so it fits into this new formula</t>
  </si>
  <si>
    <t>2) if a pairs strength of field is developed, it will fit into this format.</t>
  </si>
  <si>
    <t xml:space="preserve">      Otherwise, B x M can still be used for FS</t>
  </si>
  <si>
    <t>The new formula is thus</t>
  </si>
  <si>
    <t xml:space="preserve">  </t>
  </si>
  <si>
    <t>First Overall = FS x R x S x P x L</t>
  </si>
  <si>
    <t>The D factor</t>
  </si>
  <si>
    <t>Presntly a D factor exists to help calculate match awards in swiss teams.</t>
  </si>
  <si>
    <t>For no apparent reason D=.765 for Unit, .9 for sectional, 1.25 for regional.</t>
  </si>
  <si>
    <t>This is not consistent with the R factor.</t>
  </si>
  <si>
    <t>present match awards = D x L x M x P</t>
  </si>
  <si>
    <t>With L changed as above, this formula must change, also.</t>
  </si>
  <si>
    <t>Forunately, it becomes easier.</t>
  </si>
  <si>
    <t>Just as section awards are based on half of first overall, match awards can use a factor of 1/2</t>
  </si>
  <si>
    <t>The D factor would be eliminated, and now</t>
  </si>
  <si>
    <t xml:space="preserve"> </t>
  </si>
  <si>
    <t>Here are typical awards for swiss team matches in open games with M =1</t>
  </si>
  <si>
    <t># bds</t>
  </si>
  <si>
    <t>sect - now</t>
  </si>
  <si>
    <t>sect- prop</t>
  </si>
  <si>
    <t>reg - now</t>
  </si>
  <si>
    <t>reg - prop</t>
  </si>
  <si>
    <t xml:space="preserve">match awards = R  x L x M x P /20 </t>
  </si>
  <si>
    <t>R/10 is needed instead of R here</t>
  </si>
  <si>
    <t>Knockout Formulas</t>
  </si>
  <si>
    <t>1) Present Formula</t>
  </si>
  <si>
    <t xml:space="preserve">The present formula is designed for knockouts only </t>
  </si>
  <si>
    <t>It computes awards from 6 to 65 masterpoints for a 4-session regional</t>
  </si>
  <si>
    <t>It then uses a special K factor to adjust for other types of tournaments</t>
  </si>
  <si>
    <t>&lt; 500</t>
  </si>
  <si>
    <t>500-1000</t>
  </si>
  <si>
    <t>1000-5000</t>
  </si>
  <si>
    <t>5000-10000</t>
  </si>
  <si>
    <t>10000-25000</t>
  </si>
  <si>
    <t>25000-44000</t>
  </si>
  <si>
    <t>44000+</t>
  </si>
  <si>
    <t>Award</t>
  </si>
  <si>
    <t>6 + 5 (A-500)/500 = (A + 100)/100</t>
  </si>
  <si>
    <t>6 at 500</t>
  </si>
  <si>
    <t>11 at 1000</t>
  </si>
  <si>
    <t>21 at 5000</t>
  </si>
  <si>
    <t>28 at 10000</t>
  </si>
  <si>
    <t>46 at 25000</t>
  </si>
  <si>
    <t>65 at 44000</t>
  </si>
  <si>
    <t>11+10(A-1000)/4000 = (10A+34000)/4000</t>
  </si>
  <si>
    <t>21 + 7(A-5000)/5000 = 7(A+10000)/5000</t>
  </si>
  <si>
    <t>28 + 18(A-10000)/15000 = (3A+40000)/2500</t>
  </si>
  <si>
    <t>46 + 19(A-25000)/19000 = (A+21000)/1000</t>
  </si>
  <si>
    <t>Note the numbers 6,11,18,21,28,46,65 which appear as the fixed values in the current formula</t>
  </si>
  <si>
    <t>2) Proposed Formula</t>
  </si>
  <si>
    <t>The proposed formula is for FS, a strength of field constant which is part of the formula</t>
  </si>
  <si>
    <t>Because I have changed S for 4-session events from 2.5 to 2.25, the fixed awards will be only 90% of the ones above.</t>
  </si>
  <si>
    <t>The next sheet will show other reasons why these need to be lower values to compensate for other increases.</t>
  </si>
  <si>
    <t>A</t>
  </si>
  <si>
    <t>Let A = avg masterpoints per bracket (appropriate definitions on p 4  of current regulations).</t>
  </si>
  <si>
    <t>Let A be as above</t>
  </si>
  <si>
    <t>Fixed Values for award</t>
  </si>
  <si>
    <t>Thus the fixed awards are 5.4,9.9,18.9,25.2,41.4, and 58.5  (given R=14 and S=2.25)</t>
  </si>
  <si>
    <t>FS</t>
  </si>
  <si>
    <t>Note the re-appearances of 6,11,18,21,28,46, and 65</t>
  </si>
  <si>
    <t>6/35</t>
  </si>
  <si>
    <t>6/35 + (5/35)(A-500)/500 = (A+100)/3500</t>
  </si>
  <si>
    <t>Fixed Values for FS</t>
  </si>
  <si>
    <t>6/35 at 500</t>
  </si>
  <si>
    <t>21/35=3/5 at 5000</t>
  </si>
  <si>
    <t>11/35 at 1000</t>
  </si>
  <si>
    <t>28/35=4/5 at 10000</t>
  </si>
  <si>
    <t>46/35 at 25000</t>
  </si>
  <si>
    <t>65/35=13/7 at 44000</t>
  </si>
  <si>
    <t>Note FS is always between 0 and 2</t>
  </si>
  <si>
    <t>11/35 + (10/35)(A-1000)/4000 = (A +3400)/14000</t>
  </si>
  <si>
    <t>21/35 + (7/35)(A-5000)/5000 = (A+10000)/25000</t>
  </si>
  <si>
    <t>28/35 + (18/35)(A-10000)/15000 = (3A + 40000)/87500</t>
  </si>
  <si>
    <t>46/35 + (19/35)(A-25000)/19000 = (A + 21000)/35000</t>
  </si>
  <si>
    <t>Note this formula is a direct translation of the present formula to fit into the general masterpoint formula</t>
  </si>
  <si>
    <t>S factor - brackets</t>
  </si>
  <si>
    <t>Given the changes made in the S factor, it is now the case that a 3-session KO pays 84% of a 4-session KO</t>
  </si>
  <si>
    <t>Thus the reduction in awards for fewer than 16 teams in a bracket has become too great.</t>
  </si>
  <si>
    <t>A 9-team bracket, which currently pays 72%, must pay more than 84%.</t>
  </si>
  <si>
    <t>The following method is designed to solve that problem.</t>
  </si>
  <si>
    <t>It also means that smaller brackets will gain back some of the points lost due to the change from 2.5 to 2.25 for R</t>
  </si>
  <si>
    <t>(Note: a compact knockout is now treated as a 4-session knockout with 12 board matches)</t>
  </si>
  <si>
    <t>Thus its award is 2/3 of a regular 4-session knockout, just as it would be without the l factor if treated as a 2-sessu=ion event.</t>
  </si>
  <si>
    <t>The method used is as follows:</t>
  </si>
  <si>
    <t>The number N of sessions is no longer an integer, but a real number based on the number of teams in the bracket</t>
  </si>
  <si>
    <t>Then S is, as usual, (1.5) raised to the power log2(N0</t>
  </si>
  <si>
    <t>Here are the relevant numbers</t>
  </si>
  <si>
    <t>TM</t>
  </si>
  <si>
    <t>Let TM be the number of teams in a bracket: N is the logarithm base 2 of TM</t>
  </si>
  <si>
    <t>S</t>
  </si>
  <si>
    <t>S as % of 2.25</t>
  </si>
  <si>
    <t>present % for TM</t>
  </si>
  <si>
    <t>Two examples are presented in the next sheet</t>
  </si>
  <si>
    <t>KO examples</t>
  </si>
  <si>
    <t>Here are two examples with comparisons of knockout awards</t>
  </si>
  <si>
    <t>1) 4-session regional KO with maximum first place award</t>
  </si>
  <si>
    <t>At this level, adding teams to a bracket would likely lower the award</t>
  </si>
  <si>
    <t>So the awards for smaller brackets may be a little high, but this is mitigated by the lowered max award</t>
  </si>
  <si>
    <t>#tms in bracket</t>
  </si>
  <si>
    <t>award now</t>
  </si>
  <si>
    <t>award prop</t>
  </si>
  <si>
    <t>2) 4-session regional KO with first place award somewhere in the middle</t>
  </si>
  <si>
    <t>At this level, adding teams to a bracket may provide only minimal change.</t>
  </si>
  <si>
    <t>So these awards seem reasonable by any measure</t>
  </si>
  <si>
    <t>Club examples</t>
  </si>
  <si>
    <t>Here are a few examples of how 1st overall and 1st in section would be affected</t>
  </si>
  <si>
    <t>by using the new L factor.</t>
  </si>
  <si>
    <t>It is assumed that we are using R=4 with B=(#tables/30) for less than 10 tables</t>
  </si>
  <si>
    <t>#Tables</t>
  </si>
  <si>
    <t>#bds</t>
  </si>
  <si>
    <t>1st overall</t>
  </si>
  <si>
    <t>1st sect</t>
  </si>
  <si>
    <t>Mitchell</t>
  </si>
  <si>
    <t>This illustrates differentials when some number of boards between 18 and 28 are played at a club.</t>
  </si>
  <si>
    <t>12-board sessions are included where they are possible.</t>
  </si>
  <si>
    <t>One could of course cap the L factor at 1 when 24 boards are reached, other than the 1.5 value for 48-board segments in a match.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</si>
</sst>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d\,\ yyyy"/>
    <numFmt numFmtId="166" formatCode="[$-409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3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7" fontId="0" fillId="0" borderId="0" xfId="0" applyNumberFormat="1" applyAlignment="1" quotePrefix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2" max="2" width="10.28125" style="0" customWidth="1"/>
    <col min="5" max="5" width="12.421875" style="0" customWidth="1"/>
    <col min="7" max="7" width="15.28125" style="0" customWidth="1"/>
  </cols>
  <sheetData>
    <row r="1" s="2" customFormat="1" ht="15">
      <c r="A1" s="2" t="s">
        <v>0</v>
      </c>
    </row>
    <row r="3" ht="15">
      <c r="A3" t="s">
        <v>1</v>
      </c>
    </row>
    <row r="5" spans="1:7" ht="15">
      <c r="A5" s="3" t="s">
        <v>2</v>
      </c>
      <c r="B5" s="3"/>
      <c r="C5" s="3" t="s">
        <v>3</v>
      </c>
      <c r="D5" s="3"/>
      <c r="E5" s="3" t="s">
        <v>4</v>
      </c>
      <c r="F5" s="3"/>
      <c r="G5" s="3" t="s">
        <v>5</v>
      </c>
    </row>
    <row r="6" spans="1:7" ht="15">
      <c r="A6" s="1">
        <v>1</v>
      </c>
      <c r="B6" s="1"/>
      <c r="C6" s="4">
        <v>1</v>
      </c>
      <c r="D6" s="4"/>
      <c r="E6" s="4">
        <v>1</v>
      </c>
      <c r="F6" s="4"/>
      <c r="G6" s="4">
        <v>1</v>
      </c>
    </row>
    <row r="7" spans="1:7" ht="15">
      <c r="A7" s="1">
        <v>2</v>
      </c>
      <c r="B7" s="1"/>
      <c r="C7" s="4">
        <v>1.5</v>
      </c>
      <c r="D7" s="4"/>
      <c r="E7" s="4">
        <v>1.5</v>
      </c>
      <c r="F7" s="4"/>
      <c r="G7" s="4">
        <v>1.5</v>
      </c>
    </row>
    <row r="8" spans="1:7" ht="15">
      <c r="A8" s="1">
        <v>3</v>
      </c>
      <c r="B8" s="1"/>
      <c r="C8" s="4">
        <v>2</v>
      </c>
      <c r="D8" s="4"/>
      <c r="E8" s="4">
        <v>2</v>
      </c>
      <c r="F8" s="4"/>
      <c r="G8" s="4">
        <f>POWER(1.5,LOG(A8,2))</f>
        <v>1.9015074982303726</v>
      </c>
    </row>
    <row r="9" spans="1:7" ht="15">
      <c r="A9" s="1">
        <v>4</v>
      </c>
      <c r="B9" s="1"/>
      <c r="C9" s="4">
        <v>2.25</v>
      </c>
      <c r="D9" s="4"/>
      <c r="E9" s="4">
        <v>2.5</v>
      </c>
      <c r="F9" s="4"/>
      <c r="G9" s="4">
        <f>POWER(1.5,LOG(A9,2))</f>
        <v>2.25</v>
      </c>
    </row>
    <row r="10" spans="1:7" ht="15">
      <c r="A10" s="1">
        <v>5</v>
      </c>
      <c r="B10" s="1"/>
      <c r="C10" s="4">
        <v>2.6</v>
      </c>
      <c r="D10" s="4"/>
      <c r="E10" s="4">
        <v>3</v>
      </c>
      <c r="F10" s="4"/>
      <c r="G10" s="4">
        <f>POWER(1.5,LOG(A10,2))</f>
        <v>2.563723838624606</v>
      </c>
    </row>
    <row r="11" spans="1:7" ht="15">
      <c r="A11" s="1">
        <v>6</v>
      </c>
      <c r="B11" s="1"/>
      <c r="C11" s="4">
        <v>3</v>
      </c>
      <c r="D11" s="4"/>
      <c r="E11" s="4">
        <v>3.5</v>
      </c>
      <c r="F11" s="4"/>
      <c r="G11" s="4">
        <f>POWER(1.5,LOG(A11,2))</f>
        <v>2.8522612473455586</v>
      </c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5" t="s">
        <v>19</v>
      </c>
      <c r="B13" s="1"/>
      <c r="C13" s="1"/>
      <c r="D13" s="1"/>
      <c r="E13" s="8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="5" customFormat="1" ht="15">
      <c r="A15" s="5" t="s">
        <v>6</v>
      </c>
    </row>
    <row r="16" s="5" customFormat="1" ht="15">
      <c r="A16" s="5" t="s">
        <v>7</v>
      </c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5" t="s">
        <v>120</v>
      </c>
      <c r="B18" s="1"/>
      <c r="C18" s="1"/>
      <c r="D18" s="1"/>
      <c r="E18" s="1"/>
      <c r="F18" s="1"/>
      <c r="G18" s="1"/>
    </row>
    <row r="19" s="5" customFormat="1" ht="15">
      <c r="A19" s="5" t="s">
        <v>122</v>
      </c>
    </row>
    <row r="20" spans="1:7" s="2" customFormat="1" ht="15">
      <c r="A20" s="3"/>
      <c r="B20" s="3" t="s">
        <v>121</v>
      </c>
      <c r="C20" s="3" t="s">
        <v>2</v>
      </c>
      <c r="D20" s="3" t="s">
        <v>123</v>
      </c>
      <c r="E20" s="3" t="s">
        <v>124</v>
      </c>
      <c r="F20" s="3"/>
      <c r="G20" s="3" t="s">
        <v>125</v>
      </c>
    </row>
    <row r="21" spans="2:7" ht="15">
      <c r="B21" s="1">
        <v>16</v>
      </c>
      <c r="C21" s="11">
        <f>LOG(B21,2)</f>
        <v>4</v>
      </c>
      <c r="D21" s="11">
        <f>POWER(1.5,LOG(C21,2))</f>
        <v>2.25</v>
      </c>
      <c r="E21" s="12">
        <f>D21*100/2.25</f>
        <v>100</v>
      </c>
      <c r="G21">
        <v>100</v>
      </c>
    </row>
    <row r="22" spans="2:7" ht="15">
      <c r="B22" s="1">
        <v>15</v>
      </c>
      <c r="C22" s="11">
        <f aca="true" t="shared" si="0" ref="C22:C32">LOG(B22,2)</f>
        <v>3.9068905956085187</v>
      </c>
      <c r="D22" s="11">
        <f aca="true" t="shared" si="1" ref="D22:D32">POWER(1.5,LOG(C22,2))</f>
        <v>2.2192135116473275</v>
      </c>
      <c r="E22" s="12">
        <f aca="true" t="shared" si="2" ref="E22:E32">D22*100/2.25</f>
        <v>98.63171162877012</v>
      </c>
      <c r="G22">
        <v>96</v>
      </c>
    </row>
    <row r="23" spans="2:7" ht="15">
      <c r="B23" s="1">
        <v>14</v>
      </c>
      <c r="C23" s="11">
        <f t="shared" si="0"/>
        <v>3.8073549220576037</v>
      </c>
      <c r="D23" s="11">
        <f t="shared" si="1"/>
        <v>2.1859634432724397</v>
      </c>
      <c r="E23" s="12">
        <f t="shared" si="2"/>
        <v>97.15393081210843</v>
      </c>
      <c r="G23">
        <v>92</v>
      </c>
    </row>
    <row r="24" spans="2:7" ht="15">
      <c r="B24" s="1">
        <v>13</v>
      </c>
      <c r="C24" s="11">
        <f t="shared" si="0"/>
        <v>3.700439718141092</v>
      </c>
      <c r="D24" s="11">
        <f t="shared" si="1"/>
        <v>2.1498437226849205</v>
      </c>
      <c r="E24" s="12">
        <f t="shared" si="2"/>
        <v>95.54860989710758</v>
      </c>
      <c r="G24">
        <v>88</v>
      </c>
    </row>
    <row r="25" spans="2:7" ht="15">
      <c r="B25" s="1">
        <v>12</v>
      </c>
      <c r="C25" s="11">
        <f t="shared" si="0"/>
        <v>3.5849625007211565</v>
      </c>
      <c r="D25" s="11">
        <f t="shared" si="1"/>
        <v>2.1103413486801283</v>
      </c>
      <c r="E25" s="12">
        <f t="shared" si="2"/>
        <v>93.79294883022793</v>
      </c>
      <c r="G25">
        <v>84</v>
      </c>
    </row>
    <row r="26" spans="2:7" ht="15">
      <c r="B26" s="1">
        <v>11</v>
      </c>
      <c r="C26" s="11">
        <f t="shared" si="0"/>
        <v>3.4594316186372978</v>
      </c>
      <c r="D26" s="11">
        <f t="shared" si="1"/>
        <v>2.066795782912584</v>
      </c>
      <c r="E26" s="12">
        <f t="shared" si="2"/>
        <v>91.8575903516704</v>
      </c>
      <c r="G26">
        <v>80</v>
      </c>
    </row>
    <row r="27" spans="2:7" ht="15">
      <c r="B27" s="1">
        <v>10</v>
      </c>
      <c r="C27" s="11">
        <f t="shared" si="0"/>
        <v>3.3219280948873626</v>
      </c>
      <c r="D27" s="11">
        <f t="shared" si="1"/>
        <v>2.0183372309162637</v>
      </c>
      <c r="E27" s="12">
        <f t="shared" si="2"/>
        <v>89.70387692961172</v>
      </c>
      <c r="G27">
        <v>76</v>
      </c>
    </row>
    <row r="28" spans="2:7" ht="15">
      <c r="B28" s="1">
        <v>9</v>
      </c>
      <c r="C28" s="11">
        <f t="shared" si="0"/>
        <v>3.1699250014423126</v>
      </c>
      <c r="D28" s="11">
        <f t="shared" si="1"/>
        <v>1.963789205718673</v>
      </c>
      <c r="E28" s="12">
        <f t="shared" si="2"/>
        <v>87.27952025416324</v>
      </c>
      <c r="G28">
        <v>72</v>
      </c>
    </row>
    <row r="29" spans="2:7" ht="15">
      <c r="B29" s="1">
        <v>8</v>
      </c>
      <c r="C29" s="11">
        <f t="shared" si="0"/>
        <v>3</v>
      </c>
      <c r="D29" s="11">
        <f t="shared" si="1"/>
        <v>1.9015074982303726</v>
      </c>
      <c r="E29" s="12">
        <f t="shared" si="2"/>
        <v>84.51144436579433</v>
      </c>
      <c r="G29">
        <v>60</v>
      </c>
    </row>
    <row r="30" spans="2:7" ht="15">
      <c r="B30" s="1">
        <v>7</v>
      </c>
      <c r="C30" s="11">
        <f t="shared" si="0"/>
        <v>2.807354922057604</v>
      </c>
      <c r="D30" s="11">
        <f t="shared" si="1"/>
        <v>1.829098622269011</v>
      </c>
      <c r="E30" s="12">
        <f t="shared" si="2"/>
        <v>81.29327210084494</v>
      </c>
      <c r="G30">
        <v>52.5</v>
      </c>
    </row>
    <row r="31" spans="2:7" ht="15">
      <c r="B31" s="1">
        <v>6</v>
      </c>
      <c r="C31" s="11">
        <f t="shared" si="0"/>
        <v>2.584962500721156</v>
      </c>
      <c r="D31" s="11">
        <f t="shared" si="1"/>
        <v>1.7428911631271964</v>
      </c>
      <c r="E31" s="12">
        <f t="shared" si="2"/>
        <v>77.46182947231983</v>
      </c>
      <c r="G31">
        <v>45</v>
      </c>
    </row>
    <row r="32" spans="2:7" ht="15">
      <c r="B32" s="1">
        <v>5</v>
      </c>
      <c r="C32" s="11">
        <f t="shared" si="0"/>
        <v>2.321928094887362</v>
      </c>
      <c r="D32" s="11">
        <f t="shared" si="1"/>
        <v>1.6368459542585818</v>
      </c>
      <c r="E32" s="12">
        <f t="shared" si="2"/>
        <v>72.7487090781592</v>
      </c>
      <c r="G32">
        <v>37.5</v>
      </c>
    </row>
    <row r="34" ht="15">
      <c r="A34" t="s">
        <v>126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M26" sqref="M26"/>
    </sheetView>
  </sheetViews>
  <sheetFormatPr defaultColWidth="9.140625" defaultRowHeight="15"/>
  <sheetData>
    <row r="1" s="2" customFormat="1" ht="15">
      <c r="A1" s="2" t="s">
        <v>9</v>
      </c>
    </row>
    <row r="3" ht="15">
      <c r="A3" t="s">
        <v>10</v>
      </c>
    </row>
    <row r="4" ht="15">
      <c r="A4" t="s">
        <v>11</v>
      </c>
    </row>
    <row r="5" ht="15">
      <c r="A5" t="s">
        <v>12</v>
      </c>
    </row>
    <row r="6" ht="15">
      <c r="A6" t="s">
        <v>13</v>
      </c>
    </row>
    <row r="8" ht="15">
      <c r="A8" t="s">
        <v>20</v>
      </c>
    </row>
    <row r="10" spans="2:4" ht="15">
      <c r="B10" s="6" t="s">
        <v>14</v>
      </c>
      <c r="C10" s="6"/>
      <c r="D10" s="6" t="s">
        <v>8</v>
      </c>
    </row>
    <row r="11" spans="2:4" ht="15">
      <c r="B11" s="7">
        <v>5</v>
      </c>
      <c r="C11" s="4"/>
      <c r="D11" s="10">
        <f>POWER(1.5,LOG(B11/24,2))</f>
        <v>0.39948402981210035</v>
      </c>
    </row>
    <row r="12" spans="2:4" ht="15">
      <c r="B12" s="7">
        <v>6</v>
      </c>
      <c r="C12" s="4"/>
      <c r="D12" s="10">
        <f>POWER(1.5,LOG(B12/24,2))</f>
        <v>0.4444444444444444</v>
      </c>
    </row>
    <row r="13" spans="2:4" ht="15">
      <c r="B13" s="7">
        <v>7</v>
      </c>
      <c r="C13" s="4"/>
      <c r="D13" s="10">
        <f>POWER(1.5,LOG(B13/24,2))</f>
        <v>0.48638351096611265</v>
      </c>
    </row>
    <row r="14" spans="2:4" ht="15">
      <c r="B14" s="7">
        <v>8</v>
      </c>
      <c r="C14" s="4"/>
      <c r="D14" s="10">
        <f>POWER(1.5,LOG(B14/24,2))</f>
        <v>0.5258985309974556</v>
      </c>
    </row>
    <row r="15" spans="2:4" ht="15">
      <c r="B15" s="7">
        <v>9</v>
      </c>
      <c r="C15" s="4"/>
      <c r="D15" s="10">
        <f>POWER(1.5,LOG(B15/24,2))</f>
        <v>0.5634096291052956</v>
      </c>
    </row>
    <row r="16" spans="2:4" ht="15">
      <c r="B16" s="7"/>
      <c r="C16" s="4"/>
      <c r="D16" s="10"/>
    </row>
    <row r="17" spans="2:4" ht="15">
      <c r="B17" s="7">
        <v>12</v>
      </c>
      <c r="C17" s="4"/>
      <c r="D17" s="10">
        <f>POWER(1.5,LOG(B17/24,2))</f>
        <v>0.6666666666666666</v>
      </c>
    </row>
    <row r="18" spans="2:4" ht="15">
      <c r="B18" s="7"/>
      <c r="C18" s="4"/>
      <c r="D18" s="10"/>
    </row>
    <row r="19" spans="2:4" ht="15">
      <c r="B19" s="7">
        <v>18</v>
      </c>
      <c r="C19" s="4"/>
      <c r="D19" s="10">
        <f>POWER(1.5,LOG(B19/24,2))</f>
        <v>0.8451144436579433</v>
      </c>
    </row>
    <row r="20" spans="2:4" ht="15">
      <c r="B20" s="7"/>
      <c r="C20" s="4"/>
      <c r="D20" s="10"/>
    </row>
    <row r="21" spans="2:4" ht="15">
      <c r="B21" s="7">
        <v>20</v>
      </c>
      <c r="C21" s="4"/>
      <c r="D21" s="10">
        <f>POWER(1.5,LOG(B21/24,2))</f>
        <v>0.8988390670772258</v>
      </c>
    </row>
    <row r="22" spans="2:4" ht="15">
      <c r="B22" s="7">
        <v>21</v>
      </c>
      <c r="C22" s="4"/>
      <c r="D22" s="10">
        <f>POWER(1.5,LOG(B22/24,2))</f>
        <v>0.9248618931176777</v>
      </c>
    </row>
    <row r="23" spans="2:4" ht="15">
      <c r="B23" s="7">
        <v>22</v>
      </c>
      <c r="C23" s="4"/>
      <c r="D23" s="10">
        <f>POWER(1.5,LOG(B23/24,2))</f>
        <v>0.9503752307116291</v>
      </c>
    </row>
    <row r="24" spans="2:4" ht="15">
      <c r="B24" s="7"/>
      <c r="C24" s="4"/>
      <c r="D24" s="10"/>
    </row>
    <row r="25" spans="2:4" ht="15">
      <c r="B25" s="7">
        <v>24</v>
      </c>
      <c r="C25" s="4"/>
      <c r="D25" s="10">
        <f>POWER(1.5,LOG(B25/24,2))</f>
        <v>1</v>
      </c>
    </row>
    <row r="26" spans="2:4" ht="15">
      <c r="B26" s="7">
        <v>25</v>
      </c>
      <c r="C26" s="4"/>
      <c r="D26" s="10">
        <f>POWER(1.5,LOG(B26/24,2))</f>
        <v>1.0241667303791047</v>
      </c>
    </row>
    <row r="27" spans="2:4" ht="15">
      <c r="B27" s="7">
        <v>26</v>
      </c>
      <c r="C27" s="4"/>
      <c r="D27" s="10">
        <f>POWER(1.5,LOG(B27/24,2))</f>
        <v>1.0479354415691104</v>
      </c>
    </row>
    <row r="28" spans="2:4" ht="15">
      <c r="B28" s="7">
        <v>27</v>
      </c>
      <c r="D28" s="10">
        <f>POWER(1.5,LOG(B28/24,2))</f>
        <v>1.0713276343189126</v>
      </c>
    </row>
    <row r="29" spans="2:4" ht="15">
      <c r="B29" s="7">
        <v>28</v>
      </c>
      <c r="D29" s="10">
        <f>POWER(1.5,LOG(B29/24,2))</f>
        <v>1.0943628996737536</v>
      </c>
    </row>
    <row r="31" ht="15">
      <c r="A31" t="s">
        <v>15</v>
      </c>
    </row>
    <row r="32" ht="15">
      <c r="A32" t="s">
        <v>16</v>
      </c>
    </row>
    <row r="34" ht="15">
      <c r="A34" t="s">
        <v>17</v>
      </c>
    </row>
    <row r="35" ht="15">
      <c r="A35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I37" sqref="I37"/>
    </sheetView>
  </sheetViews>
  <sheetFormatPr defaultColWidth="9.140625" defaultRowHeight="15"/>
  <sheetData>
    <row r="1" ht="15">
      <c r="A1" s="2" t="s">
        <v>21</v>
      </c>
    </row>
    <row r="3" ht="15">
      <c r="A3" t="s">
        <v>22</v>
      </c>
    </row>
    <row r="4" ht="15">
      <c r="B4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1" ht="15">
      <c r="A11" t="s">
        <v>28</v>
      </c>
    </row>
    <row r="12" ht="15">
      <c r="B12" t="s">
        <v>29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3" ht="15">
      <c r="A23" t="s">
        <v>37</v>
      </c>
    </row>
    <row r="24" spans="1:2" ht="15">
      <c r="A24" t="s">
        <v>38</v>
      </c>
      <c r="B24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40" sqref="A40"/>
    </sheetView>
  </sheetViews>
  <sheetFormatPr defaultColWidth="9.140625" defaultRowHeight="15"/>
  <cols>
    <col min="2" max="2" width="12.140625" style="0" customWidth="1"/>
    <col min="9" max="9" width="12.421875" style="0" customWidth="1"/>
  </cols>
  <sheetData>
    <row r="1" s="2" customFormat="1" ht="15">
      <c r="A1" s="2" t="s">
        <v>58</v>
      </c>
    </row>
    <row r="3" s="2" customFormat="1" ht="15">
      <c r="A3" s="2" t="s">
        <v>59</v>
      </c>
    </row>
    <row r="4" s="2" customFormat="1" ht="15"/>
    <row r="5" ht="15">
      <c r="A5" t="s">
        <v>60</v>
      </c>
    </row>
    <row r="6" ht="15">
      <c r="A6" t="s">
        <v>61</v>
      </c>
    </row>
    <row r="7" ht="15">
      <c r="A7" t="s">
        <v>62</v>
      </c>
    </row>
    <row r="8" ht="15">
      <c r="A8" t="s">
        <v>88</v>
      </c>
    </row>
    <row r="9" spans="2:9" ht="15">
      <c r="B9" s="1" t="s">
        <v>87</v>
      </c>
      <c r="D9" s="1" t="s">
        <v>70</v>
      </c>
      <c r="I9" t="s">
        <v>90</v>
      </c>
    </row>
    <row r="10" spans="2:4" ht="15">
      <c r="B10" s="1" t="s">
        <v>63</v>
      </c>
      <c r="D10" s="5">
        <v>6</v>
      </c>
    </row>
    <row r="11" spans="2:9" ht="15">
      <c r="B11" s="1" t="s">
        <v>64</v>
      </c>
      <c r="D11" s="5" t="s">
        <v>71</v>
      </c>
      <c r="I11" t="s">
        <v>72</v>
      </c>
    </row>
    <row r="12" spans="2:9" ht="15">
      <c r="B12" s="1" t="s">
        <v>65</v>
      </c>
      <c r="D12" s="5" t="s">
        <v>78</v>
      </c>
      <c r="I12" t="s">
        <v>73</v>
      </c>
    </row>
    <row r="13" spans="2:9" ht="15">
      <c r="B13" s="1" t="s">
        <v>66</v>
      </c>
      <c r="D13" s="5" t="s">
        <v>79</v>
      </c>
      <c r="I13" t="s">
        <v>74</v>
      </c>
    </row>
    <row r="14" spans="2:9" ht="15">
      <c r="B14" s="1" t="s">
        <v>67</v>
      </c>
      <c r="D14" s="5" t="s">
        <v>80</v>
      </c>
      <c r="I14" t="s">
        <v>75</v>
      </c>
    </row>
    <row r="15" spans="2:9" ht="15">
      <c r="B15" s="1" t="s">
        <v>68</v>
      </c>
      <c r="D15" s="5" t="s">
        <v>81</v>
      </c>
      <c r="I15" t="s">
        <v>76</v>
      </c>
    </row>
    <row r="16" spans="2:9" ht="15">
      <c r="B16" s="1" t="s">
        <v>69</v>
      </c>
      <c r="D16" s="5">
        <v>65</v>
      </c>
      <c r="I16" t="s">
        <v>77</v>
      </c>
    </row>
    <row r="17" ht="15">
      <c r="B17" s="1"/>
    </row>
    <row r="18" ht="15">
      <c r="A18" t="s">
        <v>82</v>
      </c>
    </row>
    <row r="20" s="2" customFormat="1" ht="15">
      <c r="A20" s="2" t="s">
        <v>83</v>
      </c>
    </row>
    <row r="21" ht="15">
      <c r="A21" t="s">
        <v>49</v>
      </c>
    </row>
    <row r="22" ht="15">
      <c r="A22" t="s">
        <v>84</v>
      </c>
    </row>
    <row r="23" ht="15">
      <c r="B23" t="s">
        <v>39</v>
      </c>
    </row>
    <row r="24" ht="15">
      <c r="A24" t="s">
        <v>85</v>
      </c>
    </row>
    <row r="25" ht="15">
      <c r="A25" t="s">
        <v>91</v>
      </c>
    </row>
    <row r="26" ht="15">
      <c r="A26" t="s">
        <v>86</v>
      </c>
    </row>
    <row r="27" ht="15">
      <c r="A27" t="s">
        <v>89</v>
      </c>
    </row>
    <row r="28" spans="2:10" ht="15">
      <c r="B28" s="1" t="s">
        <v>87</v>
      </c>
      <c r="D28" s="1" t="s">
        <v>92</v>
      </c>
      <c r="J28" t="s">
        <v>96</v>
      </c>
    </row>
    <row r="29" spans="2:4" ht="15">
      <c r="B29" s="1" t="s">
        <v>63</v>
      </c>
      <c r="D29" s="9" t="s">
        <v>94</v>
      </c>
    </row>
    <row r="30" spans="2:10" ht="15">
      <c r="B30" s="1" t="s">
        <v>64</v>
      </c>
      <c r="D30" t="s">
        <v>95</v>
      </c>
      <c r="J30" t="s">
        <v>97</v>
      </c>
    </row>
    <row r="31" spans="2:10" ht="15">
      <c r="B31" s="1" t="s">
        <v>65</v>
      </c>
      <c r="D31" t="s">
        <v>104</v>
      </c>
      <c r="J31" t="s">
        <v>99</v>
      </c>
    </row>
    <row r="32" spans="2:10" ht="15">
      <c r="B32" s="1" t="s">
        <v>66</v>
      </c>
      <c r="D32" t="s">
        <v>105</v>
      </c>
      <c r="J32" t="s">
        <v>98</v>
      </c>
    </row>
    <row r="33" spans="2:10" ht="15">
      <c r="B33" s="1" t="s">
        <v>67</v>
      </c>
      <c r="D33" t="s">
        <v>106</v>
      </c>
      <c r="J33" t="s">
        <v>100</v>
      </c>
    </row>
    <row r="34" spans="2:10" ht="15">
      <c r="B34" s="1" t="s">
        <v>68</v>
      </c>
      <c r="D34" t="s">
        <v>107</v>
      </c>
      <c r="J34" t="s">
        <v>101</v>
      </c>
    </row>
    <row r="35" spans="2:10" ht="15">
      <c r="B35" s="1" t="s">
        <v>69</v>
      </c>
      <c r="J35" t="s">
        <v>102</v>
      </c>
    </row>
    <row r="36" ht="15">
      <c r="B36" s="1"/>
    </row>
    <row r="37" spans="1:2" ht="15">
      <c r="A37" t="s">
        <v>93</v>
      </c>
      <c r="B37" s="1"/>
    </row>
    <row r="38" spans="1:2" ht="15">
      <c r="A38" t="s">
        <v>103</v>
      </c>
      <c r="B38" s="1"/>
    </row>
    <row r="39" spans="1:2" ht="15">
      <c r="A39" t="s">
        <v>108</v>
      </c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9.140625" defaultRowHeight="15"/>
  <sheetData>
    <row r="1" s="2" customFormat="1" ht="15">
      <c r="A1" s="2" t="s">
        <v>109</v>
      </c>
    </row>
    <row r="3" ht="15">
      <c r="A3" t="s">
        <v>110</v>
      </c>
    </row>
    <row r="4" ht="15">
      <c r="A4" t="s">
        <v>111</v>
      </c>
    </row>
    <row r="5" ht="15">
      <c r="A5" t="s">
        <v>112</v>
      </c>
    </row>
    <row r="7" ht="15">
      <c r="A7" t="s">
        <v>113</v>
      </c>
    </row>
    <row r="8" ht="15">
      <c r="A8" t="s">
        <v>114</v>
      </c>
    </row>
    <row r="10" ht="15">
      <c r="A10" t="s">
        <v>115</v>
      </c>
    </row>
    <row r="11" ht="15">
      <c r="A11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16" sqref="I16"/>
    </sheetView>
  </sheetViews>
  <sheetFormatPr defaultColWidth="9.140625" defaultRowHeight="15"/>
  <cols>
    <col min="2" max="2" width="13.8515625" style="0" customWidth="1"/>
    <col min="4" max="4" width="11.00390625" style="0" customWidth="1"/>
    <col min="6" max="6" width="10.57421875" style="0" customWidth="1"/>
    <col min="7" max="7" width="8.421875" style="0" customWidth="1"/>
  </cols>
  <sheetData>
    <row r="1" s="2" customFormat="1" ht="15">
      <c r="A1" s="2" t="s">
        <v>127</v>
      </c>
    </row>
    <row r="3" ht="15">
      <c r="A3" t="s">
        <v>128</v>
      </c>
    </row>
    <row r="5" ht="15">
      <c r="A5" t="s">
        <v>129</v>
      </c>
    </row>
    <row r="6" ht="15">
      <c r="A6" t="s">
        <v>130</v>
      </c>
    </row>
    <row r="7" ht="15">
      <c r="A7" t="s">
        <v>131</v>
      </c>
    </row>
    <row r="9" spans="2:6" ht="15">
      <c r="B9" t="s">
        <v>132</v>
      </c>
      <c r="D9" t="s">
        <v>133</v>
      </c>
      <c r="F9" t="s">
        <v>134</v>
      </c>
    </row>
    <row r="10" spans="2:6" ht="15">
      <c r="B10" s="1">
        <v>16</v>
      </c>
      <c r="D10" s="4">
        <v>65</v>
      </c>
      <c r="F10" s="4">
        <f>14*POWER(1.5,LOG(LOG(B10,2),2))*13/7</f>
        <v>58.5</v>
      </c>
    </row>
    <row r="11" spans="2:6" ht="15">
      <c r="B11" s="1">
        <v>15</v>
      </c>
      <c r="D11" s="4">
        <f>65*(1-0.04*(16-B11))</f>
        <v>62.4</v>
      </c>
      <c r="F11" s="4">
        <f aca="true" t="shared" si="0" ref="F11:F17">14*POWER(1.5,LOG(LOG(B11,2),2))*13/7</f>
        <v>57.699551302830514</v>
      </c>
    </row>
    <row r="12" spans="2:6" ht="15">
      <c r="B12" s="1">
        <v>14</v>
      </c>
      <c r="D12" s="4">
        <f aca="true" t="shared" si="1" ref="D12:D17">65*(1-0.04*(16-B12))</f>
        <v>59.800000000000004</v>
      </c>
      <c r="F12" s="4">
        <f t="shared" si="0"/>
        <v>56.835049525083434</v>
      </c>
    </row>
    <row r="13" spans="2:6" ht="15">
      <c r="B13" s="1">
        <v>13</v>
      </c>
      <c r="D13" s="4">
        <f t="shared" si="1"/>
        <v>57.2</v>
      </c>
      <c r="F13" s="4">
        <f t="shared" si="0"/>
        <v>55.895936789807934</v>
      </c>
    </row>
    <row r="14" spans="2:6" ht="15">
      <c r="B14" s="1">
        <v>12</v>
      </c>
      <c r="D14" s="4">
        <f t="shared" si="1"/>
        <v>54.6</v>
      </c>
      <c r="F14" s="4">
        <f t="shared" si="0"/>
        <v>54.86887506568333</v>
      </c>
    </row>
    <row r="15" spans="2:6" ht="15">
      <c r="B15" s="1">
        <v>11</v>
      </c>
      <c r="D15" s="4">
        <f t="shared" si="1"/>
        <v>52</v>
      </c>
      <c r="F15" s="4">
        <f t="shared" si="0"/>
        <v>53.73669035572719</v>
      </c>
    </row>
    <row r="16" spans="2:6" ht="15">
      <c r="B16" s="1">
        <v>10</v>
      </c>
      <c r="D16" s="4">
        <f t="shared" si="1"/>
        <v>49.4</v>
      </c>
      <c r="F16" s="4">
        <f t="shared" si="0"/>
        <v>52.47676800382286</v>
      </c>
    </row>
    <row r="17" spans="2:6" ht="15">
      <c r="B17" s="1">
        <v>9</v>
      </c>
      <c r="D17" s="4">
        <f t="shared" si="1"/>
        <v>46.8</v>
      </c>
      <c r="F17" s="4">
        <f t="shared" si="0"/>
        <v>51.0585193486855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spans="2:6" ht="15">
      <c r="B22" t="s">
        <v>132</v>
      </c>
      <c r="D22" t="s">
        <v>133</v>
      </c>
      <c r="F22" t="s">
        <v>134</v>
      </c>
    </row>
    <row r="23" spans="2:6" ht="15">
      <c r="B23" s="1">
        <v>16</v>
      </c>
      <c r="D23" s="13">
        <v>21</v>
      </c>
      <c r="F23" s="4">
        <v>18.9</v>
      </c>
    </row>
    <row r="24" spans="2:6" ht="15">
      <c r="B24" s="1">
        <v>15</v>
      </c>
      <c r="D24" s="13">
        <f>21*(1-0.04*(16-B24))</f>
        <v>20.16</v>
      </c>
      <c r="F24" s="13">
        <f>14*POWER(1.5,LOG(LOG(B24,2),2))*3/5</f>
        <v>18.64139349783755</v>
      </c>
    </row>
    <row r="25" spans="2:6" ht="15">
      <c r="B25" s="1">
        <v>14</v>
      </c>
      <c r="D25" s="13">
        <f aca="true" t="shared" si="2" ref="D25:D30">21*(1-0.04*(16-B25))</f>
        <v>19.32</v>
      </c>
      <c r="F25" s="13">
        <f aca="true" t="shared" si="3" ref="F25:F30">14*POWER(1.5,LOG(LOG(B25,2),2))*3/5</f>
        <v>18.362092923488493</v>
      </c>
    </row>
    <row r="26" spans="2:6" ht="15">
      <c r="B26" s="1">
        <v>13</v>
      </c>
      <c r="D26" s="13">
        <f t="shared" si="2"/>
        <v>18.48</v>
      </c>
      <c r="F26" s="13">
        <f t="shared" si="3"/>
        <v>18.05868727055333</v>
      </c>
    </row>
    <row r="27" spans="2:6" ht="15">
      <c r="B27" s="1">
        <v>12</v>
      </c>
      <c r="D27" s="13">
        <f t="shared" si="2"/>
        <v>17.64</v>
      </c>
      <c r="F27" s="13">
        <f t="shared" si="3"/>
        <v>17.72686732891308</v>
      </c>
    </row>
    <row r="28" spans="2:6" ht="15">
      <c r="B28" s="1">
        <v>11</v>
      </c>
      <c r="D28" s="13">
        <f t="shared" si="2"/>
        <v>16.8</v>
      </c>
      <c r="F28" s="13">
        <f t="shared" si="3"/>
        <v>17.361084576465707</v>
      </c>
    </row>
    <row r="29" spans="2:6" ht="15">
      <c r="B29" s="1">
        <v>10</v>
      </c>
      <c r="D29" s="13">
        <f t="shared" si="2"/>
        <v>15.96</v>
      </c>
      <c r="F29" s="13">
        <f t="shared" si="3"/>
        <v>16.95403273969662</v>
      </c>
    </row>
    <row r="30" spans="2:6" ht="15">
      <c r="B30" s="1">
        <v>9</v>
      </c>
      <c r="D30" s="13">
        <f t="shared" si="2"/>
        <v>15.12</v>
      </c>
      <c r="F30" s="13">
        <f t="shared" si="3"/>
        <v>16.495829328036855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27" sqref="G27"/>
    </sheetView>
  </sheetViews>
  <sheetFormatPr defaultColWidth="9.140625" defaultRowHeight="15"/>
  <cols>
    <col min="3" max="3" width="9.57421875" style="0" customWidth="1"/>
  </cols>
  <sheetData>
    <row r="1" ht="15">
      <c r="A1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7" ht="15">
      <c r="A7" t="s">
        <v>44</v>
      </c>
    </row>
    <row r="8" ht="15">
      <c r="A8" t="s">
        <v>45</v>
      </c>
    </row>
    <row r="10" ht="15">
      <c r="A10" t="s">
        <v>46</v>
      </c>
    </row>
    <row r="11" ht="15">
      <c r="A11" t="s">
        <v>47</v>
      </c>
    </row>
    <row r="13" ht="15">
      <c r="A13" t="s">
        <v>48</v>
      </c>
    </row>
    <row r="14" spans="1:2" ht="15">
      <c r="A14" t="s">
        <v>49</v>
      </c>
      <c r="B14" t="s">
        <v>56</v>
      </c>
    </row>
    <row r="15" ht="15">
      <c r="B15" t="s">
        <v>57</v>
      </c>
    </row>
    <row r="16" ht="15">
      <c r="A16" t="s">
        <v>50</v>
      </c>
    </row>
    <row r="18" spans="1:6" ht="15">
      <c r="A18" s="1" t="s">
        <v>51</v>
      </c>
      <c r="B18" s="1" t="s">
        <v>52</v>
      </c>
      <c r="C18" s="1" t="s">
        <v>53</v>
      </c>
      <c r="D18" s="1"/>
      <c r="E18" s="1" t="s">
        <v>54</v>
      </c>
      <c r="F18" s="1" t="s">
        <v>55</v>
      </c>
    </row>
    <row r="19" spans="1:6" ht="15">
      <c r="A19" s="1"/>
      <c r="B19" s="1"/>
      <c r="C19" s="1"/>
      <c r="D19" s="1"/>
      <c r="E19" s="1"/>
      <c r="F19" s="1"/>
    </row>
    <row r="20" spans="1:6" ht="15">
      <c r="A20" s="1">
        <v>5</v>
      </c>
      <c r="B20" s="4">
        <f>0.9*A20/24</f>
        <v>0.1875</v>
      </c>
      <c r="C20" s="4">
        <f>0.5*POWER(1.5,LOG(A20/24,2))</f>
        <v>0.19974201490605017</v>
      </c>
      <c r="D20" s="4"/>
      <c r="E20" s="4">
        <f>1.25*A20/24</f>
        <v>0.2604166666666667</v>
      </c>
      <c r="F20" s="4">
        <f>0.7*POWER(1.5,LOG(A20/24,2))</f>
        <v>0.27963882086847025</v>
      </c>
    </row>
    <row r="21" spans="1:6" ht="15">
      <c r="A21" s="1">
        <v>6</v>
      </c>
      <c r="B21" s="4">
        <f>0.9*A21/24</f>
        <v>0.225</v>
      </c>
      <c r="C21" s="4">
        <f>0.5*POWER(1.5,LOG(A21/24,2))</f>
        <v>0.2222222222222222</v>
      </c>
      <c r="D21" s="4"/>
      <c r="E21" s="4">
        <f>1.25*A21/24</f>
        <v>0.3125</v>
      </c>
      <c r="F21" s="4">
        <f>0.7*POWER(1.5,LOG(A21/24,2))</f>
        <v>0.31111111111111106</v>
      </c>
    </row>
    <row r="22" spans="1:6" ht="15">
      <c r="A22" s="1">
        <v>7</v>
      </c>
      <c r="B22" s="4">
        <f>0.9*A22/24</f>
        <v>0.2625</v>
      </c>
      <c r="C22" s="4">
        <f>0.5*POWER(1.5,LOG(A22/24,2))</f>
        <v>0.24319175548305633</v>
      </c>
      <c r="D22" s="4"/>
      <c r="E22" s="4">
        <f>1.25*A22/24</f>
        <v>0.3645833333333333</v>
      </c>
      <c r="F22" s="4">
        <f>0.7*POWER(1.5,LOG(A22/24,2))</f>
        <v>0.3404684576762788</v>
      </c>
    </row>
    <row r="23" spans="1:6" ht="15">
      <c r="A23" s="1">
        <v>8</v>
      </c>
      <c r="B23" s="4">
        <f>0.9*A23/24</f>
        <v>0.3</v>
      </c>
      <c r="C23" s="4">
        <f>0.5*POWER(1.5,LOG(A23/24,2))</f>
        <v>0.2629492654987278</v>
      </c>
      <c r="D23" s="4"/>
      <c r="E23" s="4">
        <f>1.25*A23/24</f>
        <v>0.4166666666666667</v>
      </c>
      <c r="F23" s="4">
        <f>0.7*POWER(1.5,LOG(A23/24,2))</f>
        <v>0.36812897169821895</v>
      </c>
    </row>
    <row r="24" spans="1:6" ht="15">
      <c r="A24" s="1">
        <v>9</v>
      </c>
      <c r="B24" s="4">
        <f>0.9*A24/24</f>
        <v>0.33749999999999997</v>
      </c>
      <c r="C24" s="4">
        <f>0.5*POWER(1.5,LOG(A24/24,2))</f>
        <v>0.2817048145526478</v>
      </c>
      <c r="D24" s="4"/>
      <c r="E24" s="4">
        <f>1.25*A24/24</f>
        <v>0.46875</v>
      </c>
      <c r="F24" s="4">
        <f>0.7*POWER(1.5,LOG(A24/24,2))</f>
        <v>0.39438674037370686</v>
      </c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34" sqref="A34"/>
    </sheetView>
  </sheetViews>
  <sheetFormatPr defaultColWidth="9.140625" defaultRowHeight="15"/>
  <cols>
    <col min="6" max="6" width="10.00390625" style="0" customWidth="1"/>
  </cols>
  <sheetData>
    <row r="1" s="2" customFormat="1" ht="15">
      <c r="A1" s="2" t="s">
        <v>138</v>
      </c>
    </row>
    <row r="3" ht="15">
      <c r="A3" t="s">
        <v>139</v>
      </c>
    </row>
    <row r="4" ht="15">
      <c r="A4" t="s">
        <v>140</v>
      </c>
    </row>
    <row r="6" ht="15">
      <c r="A6" t="s">
        <v>141</v>
      </c>
    </row>
    <row r="8" spans="2:8" s="1" customFormat="1" ht="15">
      <c r="B8" s="1" t="s">
        <v>142</v>
      </c>
      <c r="D8" s="1" t="s">
        <v>143</v>
      </c>
      <c r="F8" s="1" t="s">
        <v>144</v>
      </c>
      <c r="H8" s="1" t="s">
        <v>145</v>
      </c>
    </row>
    <row r="9" spans="2:8" ht="15">
      <c r="B9">
        <v>14</v>
      </c>
      <c r="D9" s="1">
        <v>26</v>
      </c>
      <c r="F9" s="12">
        <f>1.6*POWER(1.5,LOG(D9/24,2))</f>
        <v>1.676696706510577</v>
      </c>
      <c r="G9" s="12"/>
      <c r="H9" s="12">
        <f>F9/2</f>
        <v>0.8383483532552884</v>
      </c>
    </row>
    <row r="10" spans="4:8" ht="15">
      <c r="D10" s="1">
        <v>24</v>
      </c>
      <c r="F10" s="12">
        <v>1.6</v>
      </c>
      <c r="G10" s="12"/>
      <c r="H10" s="12">
        <v>0.8</v>
      </c>
    </row>
    <row r="11" spans="4:8" ht="15">
      <c r="D11" s="1">
        <v>22</v>
      </c>
      <c r="F11" s="12">
        <f>1.6*POWER(1.5,LOG(D11/24,2))</f>
        <v>1.5206003691386067</v>
      </c>
      <c r="G11" s="12"/>
      <c r="H11" s="12">
        <f aca="true" t="shared" si="0" ref="H11:H27">F11/2</f>
        <v>0.7603001845693034</v>
      </c>
    </row>
    <row r="12" spans="4:8" ht="15">
      <c r="D12" s="1">
        <v>20</v>
      </c>
      <c r="F12" s="12">
        <f>1.6*POWER(1.5,LOG(D12/24,2))</f>
        <v>1.4381425073235614</v>
      </c>
      <c r="G12" s="12"/>
      <c r="H12" s="12">
        <f t="shared" si="0"/>
        <v>0.7190712536617807</v>
      </c>
    </row>
    <row r="13" spans="4:8" ht="15">
      <c r="D13" s="1">
        <v>12</v>
      </c>
      <c r="F13" s="12">
        <f>1.6*POWER(1.5,LOG(D13/24,2))</f>
        <v>1.0666666666666667</v>
      </c>
      <c r="G13" s="12"/>
      <c r="H13" s="12">
        <f t="shared" si="0"/>
        <v>0.5333333333333333</v>
      </c>
    </row>
    <row r="14" spans="4:8" ht="15">
      <c r="D14" s="1"/>
      <c r="F14" s="12"/>
      <c r="G14" s="12"/>
      <c r="H14" s="12"/>
    </row>
    <row r="15" spans="2:8" ht="15">
      <c r="B15">
        <v>9</v>
      </c>
      <c r="D15" s="1">
        <v>27</v>
      </c>
      <c r="F15" s="12">
        <f>1.2*POWER(1.5,LOG(D15/24,2))</f>
        <v>1.2855931611826952</v>
      </c>
      <c r="G15" s="12"/>
      <c r="H15" s="12">
        <f t="shared" si="0"/>
        <v>0.6427965805913476</v>
      </c>
    </row>
    <row r="16" spans="4:8" ht="15">
      <c r="D16" s="1">
        <v>24</v>
      </c>
      <c r="F16" s="12">
        <f>1.2*POWER(1.5,LOG(D16/24,2))</f>
        <v>1.2</v>
      </c>
      <c r="G16" s="12"/>
      <c r="H16" s="12">
        <f t="shared" si="0"/>
        <v>0.6</v>
      </c>
    </row>
    <row r="17" spans="4:8" ht="15">
      <c r="D17" s="1">
        <v>21</v>
      </c>
      <c r="F17" s="12">
        <f>1.2*POWER(1.5,LOG(D17/24,2))</f>
        <v>1.1098342717412133</v>
      </c>
      <c r="G17" s="12"/>
      <c r="H17" s="12">
        <f t="shared" si="0"/>
        <v>0.5549171358706066</v>
      </c>
    </row>
    <row r="18" spans="4:8" ht="15">
      <c r="D18" s="1">
        <v>18</v>
      </c>
      <c r="F18" s="12">
        <f>1.2*POWER(1.5,LOG(D18/24,2))</f>
        <v>1.014137332389532</v>
      </c>
      <c r="G18" s="12"/>
      <c r="H18" s="12">
        <f t="shared" si="0"/>
        <v>0.507068666194766</v>
      </c>
    </row>
    <row r="19" spans="4:8" ht="15">
      <c r="D19" s="1">
        <v>12</v>
      </c>
      <c r="F19" s="12">
        <f>1.2*POWER(1.5,LOG(D19/24,2))</f>
        <v>0.7999999999999999</v>
      </c>
      <c r="G19" s="12"/>
      <c r="H19" s="12">
        <f t="shared" si="0"/>
        <v>0.39999999999999997</v>
      </c>
    </row>
    <row r="20" spans="4:8" ht="15">
      <c r="D20" s="1"/>
      <c r="F20" s="12"/>
      <c r="G20" s="12"/>
      <c r="H20" s="12"/>
    </row>
    <row r="21" spans="2:8" ht="15">
      <c r="B21">
        <v>7</v>
      </c>
      <c r="D21" s="1">
        <v>28</v>
      </c>
      <c r="F21" s="12">
        <f>(14/15)*POWER(1.5,LOG(D21/24,2))</f>
        <v>1.0214053730288366</v>
      </c>
      <c r="G21" s="12"/>
      <c r="H21" s="12">
        <f t="shared" si="0"/>
        <v>0.5107026865144183</v>
      </c>
    </row>
    <row r="22" spans="2:8" ht="15">
      <c r="B22" t="s">
        <v>146</v>
      </c>
      <c r="D22" s="1">
        <v>24</v>
      </c>
      <c r="F22" s="12">
        <v>0.9333333333333333</v>
      </c>
      <c r="G22" s="12"/>
      <c r="H22" s="12">
        <f t="shared" si="0"/>
        <v>0.4666666666666667</v>
      </c>
    </row>
    <row r="23" spans="4:8" ht="15">
      <c r="D23" s="1">
        <v>21</v>
      </c>
      <c r="F23" s="12">
        <f>(14/15)*POWER(1.5,LOG(D23/24,2))</f>
        <v>0.8632044335764992</v>
      </c>
      <c r="G23" s="12"/>
      <c r="H23" s="12">
        <f t="shared" si="0"/>
        <v>0.4316022167882496</v>
      </c>
    </row>
    <row r="24" spans="4:8" ht="15">
      <c r="D24" s="1">
        <v>12</v>
      </c>
      <c r="F24" s="12">
        <f>(14/15)*POWER(1.5,LOG(D24/24,2))</f>
        <v>0.6222222222222222</v>
      </c>
      <c r="G24" s="12"/>
      <c r="H24" s="12">
        <f t="shared" si="0"/>
        <v>0.3111111111111111</v>
      </c>
    </row>
    <row r="25" spans="4:8" ht="15">
      <c r="D25" s="1"/>
      <c r="F25" s="12"/>
      <c r="G25" s="12"/>
      <c r="H25" s="12"/>
    </row>
    <row r="26" spans="2:8" ht="15">
      <c r="B26">
        <v>5</v>
      </c>
      <c r="D26" s="1">
        <v>25</v>
      </c>
      <c r="F26" s="12">
        <f>(2/3)*POWER(1.5,LOG(D26/24,2))</f>
        <v>0.6827778202527364</v>
      </c>
      <c r="G26" s="12"/>
      <c r="H26" s="12">
        <f t="shared" si="0"/>
        <v>0.3413889101263682</v>
      </c>
    </row>
    <row r="27" spans="2:8" ht="15">
      <c r="B27" t="s">
        <v>146</v>
      </c>
      <c r="D27" s="1">
        <v>20</v>
      </c>
      <c r="F27" s="12">
        <f>(2/3)*POWER(1.5,LOG(D27/24,2))</f>
        <v>0.5992260447181506</v>
      </c>
      <c r="G27" s="12"/>
      <c r="H27" s="12">
        <f t="shared" si="0"/>
        <v>0.2996130223590753</v>
      </c>
    </row>
    <row r="28" spans="4:8" ht="15">
      <c r="D28" s="1"/>
      <c r="F28" s="12"/>
      <c r="G28" s="12"/>
      <c r="H28" s="12"/>
    </row>
    <row r="29" spans="4:8" ht="15">
      <c r="D29" s="1"/>
      <c r="F29" s="12"/>
      <c r="G29" s="12"/>
      <c r="H29" s="12"/>
    </row>
    <row r="30" spans="1:8" ht="15">
      <c r="A30" t="s">
        <v>147</v>
      </c>
      <c r="D30" s="1"/>
      <c r="F30" s="12"/>
      <c r="G30" s="12"/>
      <c r="H30" s="12"/>
    </row>
    <row r="31" spans="1:8" ht="15">
      <c r="A31" t="s">
        <v>148</v>
      </c>
      <c r="D31" s="1"/>
      <c r="F31" s="12"/>
      <c r="G31" s="12"/>
      <c r="H31" s="12"/>
    </row>
    <row r="32" spans="4:8" ht="15">
      <c r="D32" s="1"/>
      <c r="F32" s="12"/>
      <c r="G32" s="12"/>
      <c r="H32" s="12"/>
    </row>
    <row r="33" spans="1:8" ht="15">
      <c r="A33" t="s">
        <v>149</v>
      </c>
      <c r="D33" s="1"/>
      <c r="F33" s="12"/>
      <c r="G33" s="12"/>
      <c r="H33" s="12"/>
    </row>
    <row r="34" spans="4:8" ht="15">
      <c r="D34" s="1"/>
      <c r="F34" s="12"/>
      <c r="G34" s="12"/>
      <c r="H34" s="12"/>
    </row>
    <row r="35" spans="4:8" ht="15">
      <c r="D35" s="1"/>
      <c r="F35" s="12"/>
      <c r="G35" s="12"/>
      <c r="H35" s="12"/>
    </row>
    <row r="36" spans="4:8" ht="15">
      <c r="D36" s="1"/>
      <c r="F36" s="12"/>
      <c r="G36" s="12"/>
      <c r="H36" s="12"/>
    </row>
    <row r="37" spans="4:8" ht="15">
      <c r="D37" s="1"/>
      <c r="F37" s="12"/>
      <c r="G37" s="12"/>
      <c r="H37" s="12"/>
    </row>
    <row r="38" spans="4:8" ht="15">
      <c r="D38" s="1"/>
      <c r="F38" s="12"/>
      <c r="G38" s="12"/>
      <c r="H38" s="12"/>
    </row>
    <row r="39" spans="4:8" ht="15">
      <c r="D39" s="1"/>
      <c r="F39" s="12"/>
      <c r="G39" s="12"/>
      <c r="H39" s="12"/>
    </row>
    <row r="40" spans="4:8" ht="15">
      <c r="D40" s="1"/>
      <c r="F40" s="12"/>
      <c r="G40" s="12"/>
      <c r="H40" s="12"/>
    </row>
    <row r="41" spans="4:8" ht="15">
      <c r="D41" s="1"/>
      <c r="F41" s="12"/>
      <c r="G41" s="12"/>
      <c r="H41" s="12"/>
    </row>
    <row r="42" spans="4:8" ht="15">
      <c r="D42" s="1"/>
      <c r="F42" s="12"/>
      <c r="G42" s="12"/>
      <c r="H42" s="12"/>
    </row>
    <row r="43" spans="4:8" ht="15">
      <c r="D43" s="1"/>
      <c r="F43" s="12"/>
      <c r="G43" s="12"/>
      <c r="H43" s="12"/>
    </row>
    <row r="44" spans="4:8" ht="15">
      <c r="D44" s="1"/>
      <c r="F44" s="12"/>
      <c r="G44" s="12"/>
      <c r="H44" s="12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Arlinghaus</dc:creator>
  <cp:keywords/>
  <dc:description/>
  <cp:lastModifiedBy>Bill Arlinghaus</cp:lastModifiedBy>
  <dcterms:created xsi:type="dcterms:W3CDTF">2011-04-03T11:11:44Z</dcterms:created>
  <dcterms:modified xsi:type="dcterms:W3CDTF">2011-04-03T23:47:49Z</dcterms:modified>
  <cp:category/>
  <cp:version/>
  <cp:contentType/>
  <cp:contentStatus/>
</cp:coreProperties>
</file>